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stevenlanou-OFS/Dropbox (MIT)/Lanou, Steve (2019)/GHG Inventory/FY2020/"/>
    </mc:Choice>
  </mc:AlternateContent>
  <xr:revisionPtr revIDLastSave="0" documentId="13_ncr:1_{8F3715BE-59BA-AE4D-B235-BEA373452C20}" xr6:coauthVersionLast="46" xr6:coauthVersionMax="46" xr10:uidLastSave="{00000000-0000-0000-0000-000000000000}"/>
  <bookViews>
    <workbookView xWindow="0" yWindow="460" windowWidth="45440" windowHeight="24660" tabRatio="500" xr2:uid="{00000000-000D-0000-FFFF-FFFF00000000}"/>
  </bookViews>
  <sheets>
    <sheet name="Energy Use &amp; GHG Data 2014-2020" sheetId="1" r:id="rId1"/>
  </sheets>
  <definedNames>
    <definedName name="_xlnm.Print_Area" localSheetId="0">'Energy Use &amp; GHG Data 2014-2020'!$B$13:$I$47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0" i="1" l="1"/>
  <c r="S37" i="1" l="1"/>
  <c r="S38" i="1" s="1"/>
  <c r="S36" i="1"/>
  <c r="K25" i="1"/>
  <c r="K29" i="1"/>
  <c r="K28" i="1"/>
  <c r="K18" i="1"/>
  <c r="K17" i="1"/>
  <c r="K26" i="1" l="1"/>
  <c r="K33" i="1" l="1"/>
  <c r="K30" i="1" l="1"/>
  <c r="K16" i="1"/>
  <c r="K32" i="1" s="1"/>
  <c r="K19" i="1"/>
  <c r="K34" i="1" l="1"/>
  <c r="J33" i="1"/>
  <c r="J19" i="1"/>
  <c r="J18" i="1"/>
  <c r="J17" i="1"/>
  <c r="J29" i="1"/>
  <c r="J28" i="1"/>
  <c r="J25" i="1"/>
  <c r="J16" i="1" l="1"/>
  <c r="J30" i="1"/>
  <c r="I16" i="1"/>
  <c r="I32" i="1" s="1"/>
  <c r="I33" i="1"/>
  <c r="I23" i="1"/>
  <c r="I37" i="1"/>
  <c r="E32" i="1"/>
  <c r="E28" i="1"/>
  <c r="I29" i="1"/>
  <c r="E29" i="1"/>
  <c r="I30" i="1"/>
  <c r="E30" i="1"/>
  <c r="H32" i="1"/>
  <c r="H40" i="1" s="1"/>
  <c r="H22" i="1"/>
  <c r="H23" i="1"/>
  <c r="H26" i="1"/>
  <c r="H30" i="1" s="1"/>
  <c r="H29" i="1"/>
  <c r="H12" i="1"/>
  <c r="G28" i="1"/>
  <c r="G29" i="1"/>
  <c r="G30" i="1"/>
  <c r="G32" i="1"/>
  <c r="G37" i="1"/>
  <c r="F32" i="1"/>
  <c r="F40" i="1" s="1"/>
  <c r="F29" i="1"/>
  <c r="F30" i="1"/>
  <c r="F28" i="1"/>
  <c r="H34" i="1" l="1"/>
  <c r="E40" i="1"/>
  <c r="I40" i="1"/>
  <c r="J32" i="1"/>
  <c r="J34" i="1" s="1"/>
  <c r="I34" i="1"/>
  <c r="G40" i="1"/>
  <c r="I28" i="1"/>
  <c r="H28" i="1"/>
  <c r="J40" i="1" l="1"/>
</calcChain>
</file>

<file path=xl/sharedStrings.xml><?xml version="1.0" encoding="utf-8"?>
<sst xmlns="http://schemas.openxmlformats.org/spreadsheetml/2006/main" count="87" uniqueCount="55">
  <si>
    <t>Buildings: Purchased Electricity</t>
  </si>
  <si>
    <t>T&amp;D Losses from Purchased Electricity</t>
  </si>
  <si>
    <t>Unit</t>
  </si>
  <si>
    <t>MTCO2e</t>
  </si>
  <si>
    <t>Electricity (Purchased)</t>
  </si>
  <si>
    <t>kWh</t>
  </si>
  <si>
    <t>Gallons</t>
  </si>
  <si>
    <t>Electricity</t>
  </si>
  <si>
    <t>Oil #2</t>
  </si>
  <si>
    <t>Natural Gas</t>
  </si>
  <si>
    <t xml:space="preserve">Oil #6 </t>
  </si>
  <si>
    <t>MIT Building Energy Use</t>
  </si>
  <si>
    <t>BY CATEGORY</t>
  </si>
  <si>
    <t>BY TYPE</t>
  </si>
  <si>
    <t>MIT Greenhouse Gas Emissions</t>
  </si>
  <si>
    <t xml:space="preserve"> Buildings Supplied by the Central Utilities Plant</t>
  </si>
  <si>
    <t>Buildings Not Supplied by the Central Utility Plant</t>
  </si>
  <si>
    <t>Fugitive Process Gases</t>
  </si>
  <si>
    <t>Leased Buildings</t>
  </si>
  <si>
    <t>MIT Owned Buildings: Fuels</t>
  </si>
  <si>
    <t>Fleet Vehicles</t>
  </si>
  <si>
    <t>All Inventory Emissions</t>
  </si>
  <si>
    <t>MIT Owned Buildings</t>
  </si>
  <si>
    <t xml:space="preserve">The MIT GHG Inventory is managed by the MIT Office of Sustainability and updated annually </t>
  </si>
  <si>
    <t>Space</t>
  </si>
  <si>
    <t>GSF</t>
  </si>
  <si>
    <t>MIT Leased Buildings</t>
  </si>
  <si>
    <t>Gross Square Footage</t>
  </si>
  <si>
    <t>BY SCOPE</t>
  </si>
  <si>
    <t>Scope 1: Direct Emissions</t>
  </si>
  <si>
    <t>Scope 2: Indirect Emissions</t>
  </si>
  <si>
    <t>Scope 3: Indirect Emissions</t>
  </si>
  <si>
    <r>
      <t xml:space="preserve">Reporting periods: </t>
    </r>
    <r>
      <rPr>
        <sz val="9"/>
        <color theme="1"/>
        <rFont val="Helvetica"/>
        <family val="2"/>
      </rPr>
      <t>Fiscal year (July-June), and billing period</t>
    </r>
  </si>
  <si>
    <t>Summit Farms Solar Power Purchase as Off-Set</t>
  </si>
  <si>
    <t>Zero-Emission Electricity (Purchased)</t>
  </si>
  <si>
    <t>sustainability.mit.edu/ghginventory</t>
  </si>
  <si>
    <t>Total Gross Campus Emissions</t>
  </si>
  <si>
    <t>Total Net Campus Emissions with Solar Offset</t>
  </si>
  <si>
    <t>Solar Farm Off-set (purchase + T&amp;D loss)</t>
  </si>
  <si>
    <r>
      <t xml:space="preserve">Data sources: </t>
    </r>
    <r>
      <rPr>
        <sz val="9"/>
        <color theme="1"/>
        <rFont val="Helvetica"/>
        <family val="2"/>
      </rPr>
      <t>MIT</t>
    </r>
    <r>
      <rPr>
        <b/>
        <sz val="9"/>
        <color theme="1"/>
        <rFont val="Helvetica"/>
        <family val="2"/>
      </rPr>
      <t xml:space="preserve"> </t>
    </r>
    <r>
      <rPr>
        <sz val="9"/>
        <color theme="1"/>
        <rFont val="Helvetica"/>
        <family val="2"/>
      </rPr>
      <t>SAP purchase detail via MIT DataPool, Department of Facilities and Office of Sustainability</t>
    </r>
  </si>
  <si>
    <t>Therms</t>
  </si>
  <si>
    <t>Gross GHG/GSF (Owned Buildings)</t>
  </si>
  <si>
    <t xml:space="preserve">*All data based on fiscal year, except leased building data is calendar year. </t>
  </si>
  <si>
    <t>MIT Greenhouse Inventory Data - Basic Spreadsheet (FY2014-2020)</t>
  </si>
  <si>
    <t>TBD</t>
  </si>
  <si>
    <t>Change in Mwh purchase</t>
  </si>
  <si>
    <t>Steve</t>
  </si>
  <si>
    <t>Siobhan</t>
  </si>
  <si>
    <t>Stu</t>
  </si>
  <si>
    <t>Seth</t>
  </si>
  <si>
    <t>lbsCO2/MWh</t>
  </si>
  <si>
    <t>tons/MWh</t>
  </si>
  <si>
    <t>MTCO2/MWh</t>
  </si>
  <si>
    <t>MTCO2/KWh</t>
  </si>
  <si>
    <t>ISO NE 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</si>
</sst>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_(* #,##0.0000_);_(* \(#,##0.0000\);_(* &quot;-&quot;??_);_(@_)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DIN Alternate Bold"/>
    </font>
    <font>
      <b/>
      <sz val="20"/>
      <color theme="1"/>
      <name val="DIN Alternate Bold"/>
    </font>
    <font>
      <b/>
      <sz val="11"/>
      <color theme="0"/>
      <name val="Helvetica"/>
      <family val="2"/>
    </font>
    <font>
      <sz val="11"/>
      <color theme="0"/>
      <name val="Helvetica"/>
      <family val="2"/>
    </font>
    <font>
      <sz val="11"/>
      <name val="Helvetica"/>
      <family val="2"/>
    </font>
    <font>
      <sz val="11"/>
      <color theme="1"/>
      <name val="Helvetica"/>
      <family val="2"/>
    </font>
    <font>
      <b/>
      <sz val="11"/>
      <name val="Helvetica"/>
      <family val="2"/>
    </font>
    <font>
      <b/>
      <sz val="9"/>
      <color theme="1"/>
      <name val="Helvetica"/>
      <family val="2"/>
    </font>
    <font>
      <sz val="9"/>
      <color theme="1"/>
      <name val="Helvetica"/>
      <family val="2"/>
    </font>
    <font>
      <i/>
      <sz val="8"/>
      <color theme="1"/>
      <name val="Helvetica"/>
      <family val="2"/>
    </font>
    <font>
      <sz val="12"/>
      <color rgb="FF333333"/>
      <name val="Arial"/>
      <family val="2"/>
    </font>
    <font>
      <sz val="12"/>
      <color rgb="FF666666"/>
      <name val="Arial"/>
      <family val="2"/>
    </font>
    <font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67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6" borderId="0" xfId="0" applyFont="1" applyFill="1"/>
    <xf numFmtId="0" fontId="7" fillId="6" borderId="0" xfId="0" applyFont="1" applyFill="1"/>
    <xf numFmtId="0" fontId="8" fillId="6" borderId="0" xfId="0" applyFont="1" applyFill="1"/>
    <xf numFmtId="0" fontId="9" fillId="4" borderId="1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/>
    </xf>
    <xf numFmtId="0" fontId="11" fillId="2" borderId="0" xfId="0" applyFont="1" applyFill="1"/>
    <xf numFmtId="165" fontId="11" fillId="2" borderId="0" xfId="1" applyNumberFormat="1" applyFont="1" applyFill="1"/>
    <xf numFmtId="165" fontId="11" fillId="2" borderId="0" xfId="1" applyNumberFormat="1" applyFont="1" applyFill="1" applyBorder="1" applyAlignment="1">
      <alignment horizontal="center" vertical="center" wrapText="1"/>
    </xf>
    <xf numFmtId="165" fontId="11" fillId="2" borderId="0" xfId="0" applyNumberFormat="1" applyFont="1" applyFill="1"/>
    <xf numFmtId="165" fontId="11" fillId="2" borderId="0" xfId="1" applyNumberFormat="1" applyFont="1" applyFill="1" applyBorder="1" applyAlignment="1">
      <alignment horizontal="right" vertical="center" wrapText="1"/>
    </xf>
    <xf numFmtId="165" fontId="12" fillId="2" borderId="0" xfId="1" applyNumberFormat="1" applyFont="1" applyFill="1" applyBorder="1"/>
    <xf numFmtId="166" fontId="12" fillId="3" borderId="0" xfId="1" applyNumberFormat="1" applyFont="1" applyFill="1" applyAlignment="1">
      <alignment horizontal="left" indent="2"/>
    </xf>
    <xf numFmtId="166" fontId="12" fillId="2" borderId="0" xfId="1" applyNumberFormat="1" applyFont="1" applyFill="1" applyBorder="1" applyAlignment="1">
      <alignment horizontal="right"/>
    </xf>
    <xf numFmtId="0" fontId="12" fillId="6" borderId="0" xfId="0" applyFont="1" applyFill="1"/>
    <xf numFmtId="0" fontId="13" fillId="2" borderId="0" xfId="0" applyFont="1" applyFill="1"/>
    <xf numFmtId="165" fontId="13" fillId="2" borderId="0" xfId="1" applyNumberFormat="1" applyFont="1" applyFill="1"/>
    <xf numFmtId="0" fontId="9" fillId="4" borderId="0" xfId="0" applyNumberFormat="1" applyFont="1" applyFill="1" applyBorder="1" applyAlignment="1" applyProtection="1">
      <alignment horizontal="center"/>
    </xf>
    <xf numFmtId="0" fontId="14" fillId="6" borderId="0" xfId="0" applyFont="1" applyFill="1"/>
    <xf numFmtId="0" fontId="15" fillId="6" borderId="0" xfId="0" applyFont="1" applyFill="1"/>
    <xf numFmtId="0" fontId="16" fillId="6" borderId="0" xfId="0" applyFont="1" applyFill="1"/>
    <xf numFmtId="0" fontId="11" fillId="2" borderId="0" xfId="0" applyFont="1" applyFill="1" applyBorder="1"/>
    <xf numFmtId="0" fontId="11" fillId="2" borderId="0" xfId="0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vertical="center"/>
    </xf>
    <xf numFmtId="165" fontId="11" fillId="2" borderId="2" xfId="1" applyNumberFormat="1" applyFont="1" applyFill="1" applyBorder="1" applyAlignment="1">
      <alignment vertical="center"/>
    </xf>
    <xf numFmtId="165" fontId="11" fillId="2" borderId="2" xfId="1" applyNumberFormat="1" applyFont="1" applyFill="1" applyBorder="1" applyAlignment="1">
      <alignment horizontal="center" vertical="center" wrapText="1"/>
    </xf>
    <xf numFmtId="165" fontId="3" fillId="6" borderId="0" xfId="0" applyNumberFormat="1" applyFont="1" applyFill="1"/>
    <xf numFmtId="0" fontId="11" fillId="2" borderId="0" xfId="0" applyFont="1" applyFill="1" applyAlignment="1">
      <alignment horizontal="left"/>
    </xf>
    <xf numFmtId="0" fontId="10" fillId="5" borderId="0" xfId="0" applyNumberFormat="1" applyFont="1" applyFill="1" applyBorder="1" applyAlignment="1" applyProtection="1">
      <alignment horizontal="center" vertical="center" textRotation="90"/>
    </xf>
    <xf numFmtId="0" fontId="12" fillId="6" borderId="0" xfId="0" applyFont="1" applyFill="1" applyAlignment="1">
      <alignment vertical="top"/>
    </xf>
    <xf numFmtId="0" fontId="3" fillId="6" borderId="0" xfId="0" applyFont="1" applyFill="1" applyAlignment="1">
      <alignment vertical="top"/>
    </xf>
    <xf numFmtId="0" fontId="10" fillId="5" borderId="3" xfId="0" applyNumberFormat="1" applyFont="1" applyFill="1" applyBorder="1" applyAlignment="1" applyProtection="1">
      <alignment horizontal="center" vertical="center" wrapText="1"/>
    </xf>
    <xf numFmtId="0" fontId="11" fillId="7" borderId="3" xfId="0" applyFont="1" applyFill="1" applyBorder="1" applyAlignment="1">
      <alignment vertical="center"/>
    </xf>
    <xf numFmtId="165" fontId="11" fillId="7" borderId="3" xfId="1" applyNumberFormat="1" applyFont="1" applyFill="1" applyBorder="1" applyAlignment="1">
      <alignment vertical="center"/>
    </xf>
    <xf numFmtId="165" fontId="11" fillId="7" borderId="3" xfId="1" applyNumberFormat="1" applyFont="1" applyFill="1" applyBorder="1" applyAlignment="1">
      <alignment horizontal="center" vertical="center" wrapText="1"/>
    </xf>
    <xf numFmtId="0" fontId="13" fillId="7" borderId="0" xfId="0" applyFont="1" applyFill="1"/>
    <xf numFmtId="165" fontId="13" fillId="7" borderId="0" xfId="1" applyNumberFormat="1" applyFont="1" applyFill="1"/>
    <xf numFmtId="0" fontId="4" fillId="6" borderId="0" xfId="54" applyFill="1" applyAlignment="1">
      <alignment horizontal="right"/>
    </xf>
    <xf numFmtId="43" fontId="3" fillId="6" borderId="0" xfId="0" applyNumberFormat="1" applyFont="1" applyFill="1"/>
    <xf numFmtId="0" fontId="3" fillId="6" borderId="0" xfId="0" applyFont="1" applyFill="1" applyAlignment="1">
      <alignment horizontal="left"/>
    </xf>
    <xf numFmtId="0" fontId="10" fillId="5" borderId="0" xfId="0" applyNumberFormat="1" applyFont="1" applyFill="1" applyBorder="1" applyAlignment="1" applyProtection="1">
      <alignment horizontal="center" vertical="center" wrapText="1"/>
    </xf>
    <xf numFmtId="10" fontId="3" fillId="6" borderId="0" xfId="73" applyNumberFormat="1" applyFont="1" applyFill="1"/>
    <xf numFmtId="0" fontId="11" fillId="2" borderId="0" xfId="0" applyFont="1" applyFill="1" applyAlignment="1">
      <alignment horizontal="right"/>
    </xf>
    <xf numFmtId="167" fontId="11" fillId="2" borderId="0" xfId="0" applyNumberFormat="1" applyFont="1" applyFill="1"/>
    <xf numFmtId="3" fontId="11" fillId="2" borderId="0" xfId="1" applyNumberFormat="1" applyFont="1" applyFill="1" applyBorder="1" applyAlignment="1">
      <alignment horizontal="right" vertical="center" wrapText="1"/>
    </xf>
    <xf numFmtId="3" fontId="11" fillId="2" borderId="2" xfId="1" applyNumberFormat="1" applyFont="1" applyFill="1" applyBorder="1" applyAlignment="1">
      <alignment horizontal="right" vertical="center" wrapText="1"/>
    </xf>
    <xf numFmtId="165" fontId="11" fillId="7" borderId="3" xfId="1" applyNumberFormat="1" applyFont="1" applyFill="1" applyBorder="1" applyAlignment="1">
      <alignment horizontal="right" vertical="center" wrapText="1"/>
    </xf>
    <xf numFmtId="165" fontId="11" fillId="8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3" fontId="17" fillId="0" borderId="0" xfId="0" applyNumberFormat="1" applyFont="1" applyFill="1" applyAlignment="1">
      <alignment vertical="center"/>
    </xf>
    <xf numFmtId="10" fontId="17" fillId="0" borderId="0" xfId="0" applyNumberFormat="1" applyFont="1" applyFill="1" applyAlignment="1">
      <alignment vertical="center"/>
    </xf>
    <xf numFmtId="0" fontId="19" fillId="0" borderId="0" xfId="0" applyFont="1"/>
    <xf numFmtId="0" fontId="19" fillId="8" borderId="0" xfId="0" applyFont="1" applyFill="1"/>
    <xf numFmtId="0" fontId="14" fillId="6" borderId="0" xfId="0" applyFont="1" applyFill="1" applyAlignment="1">
      <alignment horizontal="left" vertical="top" wrapText="1"/>
    </xf>
    <xf numFmtId="0" fontId="10" fillId="5" borderId="0" xfId="0" applyNumberFormat="1" applyFont="1" applyFill="1" applyBorder="1" applyAlignment="1" applyProtection="1">
      <alignment horizontal="center" vertical="center" wrapText="1"/>
    </xf>
    <xf numFmtId="0" fontId="10" fillId="5" borderId="2" xfId="0" applyNumberFormat="1" applyFont="1" applyFill="1" applyBorder="1" applyAlignment="1" applyProtection="1">
      <alignment horizontal="center" vertical="center" wrapText="1"/>
    </xf>
    <xf numFmtId="0" fontId="10" fillId="5" borderId="0" xfId="0" applyNumberFormat="1" applyFont="1" applyFill="1" applyBorder="1" applyAlignment="1" applyProtection="1">
      <alignment horizontal="center" vertical="center" textRotation="90"/>
    </xf>
    <xf numFmtId="9" fontId="11" fillId="0" borderId="0" xfId="73" applyFont="1" applyFill="1"/>
  </cellXfs>
  <cellStyles count="267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/>
    <cellStyle name="Normal" xfId="0" builtinId="0"/>
    <cellStyle name="Percent" xfId="7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314960</xdr:colOff>
      <xdr:row>42</xdr:row>
      <xdr:rowOff>114759</xdr:rowOff>
    </xdr:from>
    <xdr:to>
      <xdr:col>8</xdr:col>
      <xdr:colOff>883920</xdr:colOff>
      <xdr:row>44</xdr:row>
      <xdr:rowOff>111759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8080" y="8364679"/>
          <a:ext cx="3423920" cy="46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ustainability.mit.edu/ghginvento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71"/>
  <sheetViews>
    <sheetView tabSelected="1" zoomScale="200" zoomScaleNormal="200" zoomScalePageLayoutView="125" workbookViewId="0">
      <selection activeCell="B3" sqref="B3"/>
    </sheetView>
  </sheetViews>
  <sheetFormatPr baseColWidth="10" defaultRowHeight="16"/>
  <cols>
    <col min="1" max="1" width="3.5" style="2" customWidth="1"/>
    <col min="2" max="2" width="25.83203125" style="1" customWidth="1"/>
    <col min="3" max="3" width="43.5" style="1" customWidth="1"/>
    <col min="4" max="4" width="10.83203125" style="1"/>
    <col min="5" max="5" width="12.6640625" style="1" bestFit="1" customWidth="1"/>
    <col min="6" max="6" width="12.6640625" style="1" customWidth="1"/>
    <col min="7" max="7" width="12.33203125" style="1" bestFit="1" customWidth="1"/>
    <col min="8" max="9" width="12.33203125" style="1" customWidth="1"/>
    <col min="10" max="10" width="13.1640625" style="2" bestFit="1" customWidth="1"/>
    <col min="11" max="11" width="12.1640625" style="2" bestFit="1" customWidth="1"/>
    <col min="12" max="12" width="33.83203125" bestFit="1" customWidth="1"/>
    <col min="13" max="13" width="23" bestFit="1" customWidth="1"/>
    <col min="14" max="14" width="32" bestFit="1" customWidth="1"/>
    <col min="15" max="15" width="12.6640625" style="2" bestFit="1" customWidth="1"/>
    <col min="16" max="16" width="22" style="1" bestFit="1" customWidth="1"/>
    <col min="17" max="18" width="10.83203125" style="1"/>
    <col min="19" max="19" width="15.1640625" style="1" bestFit="1" customWidth="1"/>
    <col min="20" max="16384" width="10.83203125" style="1"/>
  </cols>
  <sheetData>
    <row r="1" spans="2:71" s="2" customFormat="1" ht="26">
      <c r="B1" s="4" t="s">
        <v>43</v>
      </c>
      <c r="L1"/>
      <c r="M1"/>
      <c r="N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2:71" s="2" customFormat="1">
      <c r="L2"/>
      <c r="M2"/>
      <c r="N2"/>
      <c r="O2" s="52"/>
      <c r="P2" s="52"/>
      <c r="Q2" s="52"/>
      <c r="R2" s="52"/>
      <c r="S2" s="52"/>
      <c r="T2" s="52"/>
      <c r="U2" s="52"/>
      <c r="V2" s="52"/>
      <c r="W2" s="52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</row>
    <row r="3" spans="2:71" s="2" customFormat="1" ht="21">
      <c r="B3" s="3" t="s">
        <v>11</v>
      </c>
      <c r="L3"/>
      <c r="M3"/>
      <c r="N3"/>
      <c r="O3" s="53"/>
      <c r="P3" s="53"/>
      <c r="Q3" s="53"/>
      <c r="R3" s="53"/>
      <c r="S3" s="53"/>
      <c r="T3" s="53"/>
      <c r="U3" s="53"/>
      <c r="V3" s="53"/>
      <c r="W3" s="53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</row>
    <row r="4" spans="2:71">
      <c r="B4" s="6"/>
      <c r="C4" s="6"/>
      <c r="D4" s="18" t="s">
        <v>2</v>
      </c>
      <c r="E4" s="18">
        <v>2014</v>
      </c>
      <c r="F4" s="18">
        <v>2015</v>
      </c>
      <c r="G4" s="18">
        <v>2016</v>
      </c>
      <c r="H4" s="18">
        <v>2017</v>
      </c>
      <c r="I4" s="18">
        <v>2018</v>
      </c>
      <c r="J4" s="18">
        <v>2019</v>
      </c>
      <c r="K4" s="18">
        <v>2020</v>
      </c>
      <c r="O4" s="53"/>
      <c r="P4" s="53"/>
      <c r="Q4" s="53"/>
      <c r="R4" s="53"/>
      <c r="S4" s="53"/>
      <c r="T4" s="53"/>
      <c r="U4" s="53"/>
      <c r="V4" s="53"/>
      <c r="W4" s="53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</row>
    <row r="5" spans="2:71">
      <c r="B5" s="59" t="s">
        <v>15</v>
      </c>
      <c r="C5" s="22" t="s">
        <v>4</v>
      </c>
      <c r="D5" s="23" t="s">
        <v>5</v>
      </c>
      <c r="E5" s="24">
        <v>87445993</v>
      </c>
      <c r="F5" s="9">
        <v>80490556</v>
      </c>
      <c r="G5" s="9">
        <v>117065854</v>
      </c>
      <c r="H5" s="9">
        <v>148300987</v>
      </c>
      <c r="I5" s="9">
        <v>105978379</v>
      </c>
      <c r="J5" s="47">
        <v>110689414</v>
      </c>
      <c r="K5" s="47">
        <v>118881544</v>
      </c>
      <c r="O5" s="54"/>
      <c r="P5" s="55"/>
      <c r="Q5" s="55"/>
      <c r="R5" s="54"/>
      <c r="S5" s="54"/>
      <c r="T5" s="55"/>
      <c r="U5" s="55"/>
      <c r="V5" s="55"/>
      <c r="W5" s="55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</row>
    <row r="6" spans="2:71" ht="16" customHeight="1">
      <c r="B6" s="59"/>
      <c r="C6" s="22" t="s">
        <v>10</v>
      </c>
      <c r="D6" s="23" t="s">
        <v>6</v>
      </c>
      <c r="E6" s="24">
        <v>1044703.38</v>
      </c>
      <c r="F6" s="9">
        <v>1226879.6399999999</v>
      </c>
      <c r="G6" s="9">
        <v>0</v>
      </c>
      <c r="H6" s="9">
        <v>0</v>
      </c>
      <c r="I6" s="9">
        <v>8037</v>
      </c>
      <c r="J6" s="11">
        <v>0</v>
      </c>
      <c r="K6" s="11">
        <v>0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</row>
    <row r="7" spans="2:71" ht="16" customHeight="1">
      <c r="B7" s="59"/>
      <c r="C7" s="22" t="s">
        <v>8</v>
      </c>
      <c r="D7" s="23" t="s">
        <v>6</v>
      </c>
      <c r="E7" s="24">
        <v>779501</v>
      </c>
      <c r="F7" s="9">
        <v>665372.99</v>
      </c>
      <c r="G7" s="9">
        <v>19700</v>
      </c>
      <c r="H7" s="9">
        <v>20000</v>
      </c>
      <c r="I7" s="9">
        <v>165417</v>
      </c>
      <c r="J7" s="47">
        <v>69701</v>
      </c>
      <c r="K7" s="47">
        <v>20000</v>
      </c>
      <c r="O7" s="54"/>
      <c r="P7" s="55"/>
      <c r="Q7" s="55"/>
      <c r="R7" s="54"/>
      <c r="S7" s="54"/>
      <c r="T7" s="55"/>
      <c r="U7" s="55"/>
      <c r="V7" s="55"/>
      <c r="W7" s="55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</row>
    <row r="8" spans="2:71" ht="16" customHeight="1">
      <c r="B8" s="60"/>
      <c r="C8" s="25" t="s">
        <v>9</v>
      </c>
      <c r="D8" s="26" t="s">
        <v>40</v>
      </c>
      <c r="E8" s="27">
        <v>24948560</v>
      </c>
      <c r="F8" s="28">
        <v>22950922.129999999</v>
      </c>
      <c r="G8" s="28">
        <v>23863433.535</v>
      </c>
      <c r="H8" s="28">
        <v>21120802.252999999</v>
      </c>
      <c r="I8" s="28">
        <v>24934179</v>
      </c>
      <c r="J8" s="48">
        <v>24974104.752</v>
      </c>
      <c r="K8" s="48">
        <v>23330011.124999996</v>
      </c>
      <c r="O8" s="54"/>
      <c r="P8" s="55"/>
      <c r="Q8" s="55"/>
      <c r="R8" s="54"/>
      <c r="S8" s="54"/>
      <c r="T8" s="55"/>
      <c r="U8" s="55"/>
      <c r="V8" s="55"/>
      <c r="W8" s="55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</row>
    <row r="9" spans="2:71" ht="16" customHeight="1">
      <c r="B9" s="59" t="s">
        <v>16</v>
      </c>
      <c r="C9" s="22" t="s">
        <v>7</v>
      </c>
      <c r="D9" s="23" t="s">
        <v>5</v>
      </c>
      <c r="E9" s="24">
        <v>28130477</v>
      </c>
      <c r="F9" s="9">
        <v>28315832</v>
      </c>
      <c r="G9" s="9">
        <v>29092887.028999999</v>
      </c>
      <c r="H9" s="9">
        <v>29424433.774999999</v>
      </c>
      <c r="I9" s="9">
        <v>28757463</v>
      </c>
      <c r="J9" s="47">
        <v>29308235.664000001</v>
      </c>
      <c r="K9" s="47">
        <v>27573178.020999961</v>
      </c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</row>
    <row r="10" spans="2:71" ht="16" customHeight="1">
      <c r="B10" s="59"/>
      <c r="C10" s="22" t="s">
        <v>8</v>
      </c>
      <c r="D10" s="23" t="s">
        <v>6</v>
      </c>
      <c r="E10" s="24">
        <v>2406.6799999999998</v>
      </c>
      <c r="F10" s="9">
        <v>2430.6999999999998</v>
      </c>
      <c r="G10" s="9">
        <v>2238.9</v>
      </c>
      <c r="H10" s="9">
        <v>3084.5</v>
      </c>
      <c r="I10" s="9">
        <v>3455</v>
      </c>
      <c r="J10" s="47">
        <v>3351.2040000000002</v>
      </c>
      <c r="K10" s="47">
        <v>2047.8999999999999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</row>
    <row r="11" spans="2:71" ht="16" customHeight="1">
      <c r="B11" s="59"/>
      <c r="C11" s="22" t="s">
        <v>9</v>
      </c>
      <c r="D11" s="23" t="s">
        <v>40</v>
      </c>
      <c r="E11" s="24">
        <v>858000</v>
      </c>
      <c r="F11" s="9">
        <v>855264.05</v>
      </c>
      <c r="G11" s="9">
        <v>795585.08800000022</v>
      </c>
      <c r="H11" s="9">
        <v>922270</v>
      </c>
      <c r="I11" s="9">
        <v>880859</v>
      </c>
      <c r="J11" s="47">
        <v>956299.49899999995</v>
      </c>
      <c r="K11" s="47">
        <v>888659.11600000341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</row>
    <row r="12" spans="2:71" ht="36" customHeight="1">
      <c r="B12" s="34" t="s">
        <v>33</v>
      </c>
      <c r="C12" s="35" t="s">
        <v>34</v>
      </c>
      <c r="D12" s="35" t="s">
        <v>5</v>
      </c>
      <c r="E12" s="36"/>
      <c r="F12" s="37"/>
      <c r="G12" s="37"/>
      <c r="H12" s="37">
        <f>-51878*1000</f>
        <v>-51878000</v>
      </c>
      <c r="I12" s="37">
        <v>-88774000</v>
      </c>
      <c r="J12" s="49">
        <v>-87334000</v>
      </c>
      <c r="K12" s="49">
        <v>-87320000</v>
      </c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</row>
    <row r="13" spans="2:71" s="2" customFormat="1" ht="22" customHeight="1">
      <c r="E13" s="29"/>
      <c r="L13"/>
      <c r="M13"/>
      <c r="N13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</row>
    <row r="14" spans="2:71" s="2" customFormat="1" ht="21">
      <c r="B14" s="3" t="s">
        <v>14</v>
      </c>
      <c r="L14"/>
      <c r="M14"/>
      <c r="N1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2:71">
      <c r="B15" s="5"/>
      <c r="C15" s="6" t="s">
        <v>12</v>
      </c>
      <c r="D15" s="6" t="s">
        <v>2</v>
      </c>
      <c r="E15" s="6">
        <v>2014</v>
      </c>
      <c r="F15" s="6">
        <v>2015</v>
      </c>
      <c r="G15" s="18">
        <v>2016</v>
      </c>
      <c r="H15" s="18">
        <v>2017</v>
      </c>
      <c r="I15" s="18">
        <v>2018</v>
      </c>
      <c r="J15" s="18">
        <v>2019</v>
      </c>
      <c r="K15" s="18">
        <v>2020</v>
      </c>
      <c r="O15" s="1"/>
    </row>
    <row r="16" spans="2:71">
      <c r="B16" s="59" t="s">
        <v>21</v>
      </c>
      <c r="C16" s="7" t="s">
        <v>22</v>
      </c>
      <c r="D16" s="7" t="s">
        <v>3</v>
      </c>
      <c r="E16" s="8">
        <v>204176.98357516414</v>
      </c>
      <c r="F16" s="9">
        <v>191767.99154256727</v>
      </c>
      <c r="G16" s="9">
        <v>187848</v>
      </c>
      <c r="H16" s="9">
        <v>186780</v>
      </c>
      <c r="I16" s="9">
        <f>SUM(I21,I24,I25)</f>
        <v>192982</v>
      </c>
      <c r="J16" s="9">
        <f>SUM(J21,J24,J25)</f>
        <v>194485.38855999999</v>
      </c>
      <c r="K16" s="9">
        <f>SUM(K21,K24,K25)</f>
        <v>180519.83671999999</v>
      </c>
      <c r="O16" s="1"/>
    </row>
    <row r="17" spans="2:71">
      <c r="B17" s="59"/>
      <c r="C17" s="7" t="s">
        <v>20</v>
      </c>
      <c r="D17" s="7" t="s">
        <v>3</v>
      </c>
      <c r="E17" s="10">
        <v>1150</v>
      </c>
      <c r="F17" s="11">
        <v>1151</v>
      </c>
      <c r="G17" s="9">
        <v>1007.4959907829937</v>
      </c>
      <c r="H17" s="9">
        <v>1094</v>
      </c>
      <c r="I17" s="9">
        <v>1025.9000000000001</v>
      </c>
      <c r="J17" s="9">
        <f>J22</f>
        <v>1015</v>
      </c>
      <c r="K17" s="9">
        <f>K22</f>
        <v>990</v>
      </c>
      <c r="O17" s="1"/>
    </row>
    <row r="18" spans="2:71">
      <c r="B18" s="59"/>
      <c r="C18" s="7" t="s">
        <v>17</v>
      </c>
      <c r="D18" s="7" t="s">
        <v>3</v>
      </c>
      <c r="E18" s="10">
        <v>4000</v>
      </c>
      <c r="F18" s="11">
        <v>4000</v>
      </c>
      <c r="G18" s="9">
        <v>3423.2493376567963</v>
      </c>
      <c r="H18" s="9">
        <v>5655</v>
      </c>
      <c r="I18" s="9">
        <v>5054.5</v>
      </c>
      <c r="J18" s="9">
        <f>J23</f>
        <v>5900</v>
      </c>
      <c r="K18" s="9">
        <f>K23</f>
        <v>5200</v>
      </c>
      <c r="O18" s="1"/>
    </row>
    <row r="19" spans="2:71">
      <c r="B19" s="61"/>
      <c r="C19" s="7" t="s">
        <v>18</v>
      </c>
      <c r="D19" s="7" t="s">
        <v>3</v>
      </c>
      <c r="E19" s="11">
        <v>4101</v>
      </c>
      <c r="F19" s="11">
        <v>4101</v>
      </c>
      <c r="G19" s="9">
        <v>5759.4559342606581</v>
      </c>
      <c r="H19" s="9">
        <v>4865.1787033513237</v>
      </c>
      <c r="I19" s="9">
        <v>4937.4063687792313</v>
      </c>
      <c r="J19" s="9">
        <f>J26</f>
        <v>4676</v>
      </c>
      <c r="K19" s="9">
        <f>K26</f>
        <v>4582.4799999999996</v>
      </c>
      <c r="O19" s="1"/>
    </row>
    <row r="20" spans="2:71">
      <c r="B20" s="61"/>
      <c r="C20" s="6" t="s">
        <v>13</v>
      </c>
      <c r="D20" s="6"/>
      <c r="E20" s="6"/>
      <c r="F20" s="6"/>
      <c r="G20" s="18"/>
      <c r="H20" s="18"/>
      <c r="I20" s="18"/>
      <c r="J20" s="18"/>
      <c r="K20" s="18"/>
      <c r="O20" s="1"/>
    </row>
    <row r="21" spans="2:71">
      <c r="B21" s="61"/>
      <c r="C21" s="7" t="s">
        <v>19</v>
      </c>
      <c r="D21" s="7" t="s">
        <v>3</v>
      </c>
      <c r="E21" s="8">
        <v>161578.51243416243</v>
      </c>
      <c r="F21" s="9">
        <v>151664.79597711496</v>
      </c>
      <c r="G21" s="9">
        <v>134913</v>
      </c>
      <c r="H21" s="9">
        <v>120635</v>
      </c>
      <c r="I21" s="9">
        <v>142838</v>
      </c>
      <c r="J21" s="9">
        <v>142383</v>
      </c>
      <c r="K21" s="9">
        <v>132508</v>
      </c>
      <c r="O21" s="1"/>
    </row>
    <row r="22" spans="2:71">
      <c r="B22" s="61"/>
      <c r="C22" s="7" t="s">
        <v>20</v>
      </c>
      <c r="D22" s="7" t="s">
        <v>3</v>
      </c>
      <c r="E22" s="12">
        <v>1150</v>
      </c>
      <c r="F22" s="13">
        <v>1151</v>
      </c>
      <c r="G22" s="9">
        <v>1007.4959907829937</v>
      </c>
      <c r="H22" s="9">
        <f>$H$17</f>
        <v>1094</v>
      </c>
      <c r="I22" s="9">
        <v>1025.9000000000001</v>
      </c>
      <c r="J22" s="9">
        <v>1015</v>
      </c>
      <c r="K22" s="9">
        <v>990</v>
      </c>
      <c r="O22" s="1"/>
    </row>
    <row r="23" spans="2:71">
      <c r="B23" s="61"/>
      <c r="C23" s="7" t="s">
        <v>17</v>
      </c>
      <c r="D23" s="7" t="s">
        <v>3</v>
      </c>
      <c r="E23" s="12">
        <v>4000</v>
      </c>
      <c r="F23" s="14">
        <v>4000</v>
      </c>
      <c r="G23" s="9">
        <v>3423.2493376567963</v>
      </c>
      <c r="H23" s="9">
        <f>$H$18</f>
        <v>5655</v>
      </c>
      <c r="I23" s="9">
        <f>$I$18</f>
        <v>5054.5</v>
      </c>
      <c r="J23" s="9">
        <v>5900</v>
      </c>
      <c r="K23" s="9">
        <v>5200</v>
      </c>
      <c r="O23" s="1"/>
    </row>
    <row r="24" spans="2:71">
      <c r="B24" s="61"/>
      <c r="C24" s="7" t="s">
        <v>0</v>
      </c>
      <c r="D24" s="7" t="s">
        <v>3</v>
      </c>
      <c r="E24" s="8">
        <v>38764.608738311545</v>
      </c>
      <c r="F24" s="9">
        <v>36493.907964561608</v>
      </c>
      <c r="G24" s="9">
        <v>48086.225798540996</v>
      </c>
      <c r="H24" s="9">
        <v>60249</v>
      </c>
      <c r="I24" s="9">
        <v>45675</v>
      </c>
      <c r="J24" s="9">
        <v>47459</v>
      </c>
      <c r="K24" s="50">
        <v>43733</v>
      </c>
      <c r="O24" s="1"/>
    </row>
    <row r="25" spans="2:71">
      <c r="B25" s="61"/>
      <c r="C25" s="7" t="s">
        <v>1</v>
      </c>
      <c r="D25" s="7" t="s">
        <v>3</v>
      </c>
      <c r="E25" s="8">
        <v>3833.8624026901552</v>
      </c>
      <c r="F25" s="9">
        <v>3609.287600890711</v>
      </c>
      <c r="G25" s="9">
        <v>4848.3268441717428</v>
      </c>
      <c r="H25" s="9">
        <v>5895</v>
      </c>
      <c r="I25" s="9">
        <v>4469</v>
      </c>
      <c r="J25" s="9">
        <f>J24*0.09784</f>
        <v>4643.3885599999994</v>
      </c>
      <c r="K25" s="9">
        <f>K24*0.09784</f>
        <v>4278.8367200000002</v>
      </c>
      <c r="O25" s="1"/>
    </row>
    <row r="26" spans="2:71">
      <c r="B26" s="61"/>
      <c r="C26" s="7" t="s">
        <v>18</v>
      </c>
      <c r="D26" s="7" t="s">
        <v>3</v>
      </c>
      <c r="E26" s="8">
        <v>4101</v>
      </c>
      <c r="F26" s="8">
        <v>4101</v>
      </c>
      <c r="G26" s="9">
        <v>5759.4559342606581</v>
      </c>
      <c r="H26" s="9">
        <f>$H$19</f>
        <v>4865.1787033513237</v>
      </c>
      <c r="I26" s="9">
        <v>4937.4063687792313</v>
      </c>
      <c r="J26" s="9">
        <v>4676</v>
      </c>
      <c r="K26" s="9">
        <f>J26*0.98</f>
        <v>4582.4799999999996</v>
      </c>
      <c r="O26" s="1"/>
    </row>
    <row r="27" spans="2:71">
      <c r="B27" s="31"/>
      <c r="C27" s="6" t="s">
        <v>28</v>
      </c>
      <c r="D27" s="6"/>
      <c r="E27" s="6"/>
      <c r="F27" s="6"/>
      <c r="G27" s="18"/>
      <c r="H27" s="18"/>
      <c r="I27" s="18"/>
      <c r="J27" s="18"/>
      <c r="K27" s="18"/>
      <c r="O27" s="1"/>
    </row>
    <row r="28" spans="2:71">
      <c r="B28" s="31"/>
      <c r="C28" s="7" t="s">
        <v>29</v>
      </c>
      <c r="D28" s="7" t="s">
        <v>3</v>
      </c>
      <c r="E28" s="8">
        <f t="shared" ref="E28:J28" si="0">SUM(E21:E23)</f>
        <v>166728.51243416243</v>
      </c>
      <c r="F28" s="8">
        <f t="shared" si="0"/>
        <v>156815.79597711496</v>
      </c>
      <c r="G28" s="8">
        <f t="shared" si="0"/>
        <v>139343.74532843981</v>
      </c>
      <c r="H28" s="8">
        <f t="shared" si="0"/>
        <v>127384</v>
      </c>
      <c r="I28" s="8">
        <f t="shared" si="0"/>
        <v>148918.39999999999</v>
      </c>
      <c r="J28" s="8">
        <f t="shared" si="0"/>
        <v>149298</v>
      </c>
      <c r="K28" s="8">
        <f>SUM(K21:K23)</f>
        <v>138698</v>
      </c>
      <c r="O28" s="1"/>
    </row>
    <row r="29" spans="2:71">
      <c r="B29" s="31"/>
      <c r="C29" s="7" t="s">
        <v>30</v>
      </c>
      <c r="D29" s="7" t="s">
        <v>3</v>
      </c>
      <c r="E29" s="8">
        <f>SUM(E24)</f>
        <v>38764.608738311545</v>
      </c>
      <c r="F29" s="8">
        <f t="shared" ref="F29:J29" si="1">F24</f>
        <v>36493.907964561608</v>
      </c>
      <c r="G29" s="8">
        <f t="shared" si="1"/>
        <v>48086.225798540996</v>
      </c>
      <c r="H29" s="8">
        <f t="shared" si="1"/>
        <v>60249</v>
      </c>
      <c r="I29" s="8">
        <f t="shared" si="1"/>
        <v>45675</v>
      </c>
      <c r="J29" s="8">
        <f t="shared" si="1"/>
        <v>47459</v>
      </c>
      <c r="K29" s="8">
        <f>K24</f>
        <v>43733</v>
      </c>
      <c r="O29" s="1"/>
    </row>
    <row r="30" spans="2:71">
      <c r="B30" s="31"/>
      <c r="C30" s="7" t="s">
        <v>31</v>
      </c>
      <c r="D30" s="7" t="s">
        <v>3</v>
      </c>
      <c r="E30" s="8">
        <f t="shared" ref="E30:J30" si="2">SUM(E25:E26)</f>
        <v>7934.8624026901552</v>
      </c>
      <c r="F30" s="8">
        <f t="shared" si="2"/>
        <v>7710.2876008907115</v>
      </c>
      <c r="G30" s="8">
        <f t="shared" si="2"/>
        <v>10607.7827784324</v>
      </c>
      <c r="H30" s="8">
        <f t="shared" si="2"/>
        <v>10760.178703351325</v>
      </c>
      <c r="I30" s="8">
        <f t="shared" si="2"/>
        <v>9406.4063687792313</v>
      </c>
      <c r="J30" s="8">
        <f t="shared" si="2"/>
        <v>9319.3885599999994</v>
      </c>
      <c r="K30" s="8">
        <f>SUM(K25:K26)</f>
        <v>8861.3167199999989</v>
      </c>
      <c r="O30" s="1"/>
    </row>
    <row r="31" spans="2:71" s="2" customFormat="1">
      <c r="B31" s="15"/>
      <c r="C31" s="15"/>
      <c r="D31" s="15"/>
      <c r="E31" s="15"/>
      <c r="F31" s="15"/>
      <c r="K31" s="41"/>
      <c r="L31"/>
      <c r="M31"/>
      <c r="N3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2:71">
      <c r="B32" s="15"/>
      <c r="C32" s="16" t="s">
        <v>36</v>
      </c>
      <c r="D32" s="16" t="s">
        <v>3</v>
      </c>
      <c r="E32" s="17">
        <f t="shared" ref="E32:J32" si="3">SUM(E16:E19)</f>
        <v>213427.98357516414</v>
      </c>
      <c r="F32" s="17">
        <f t="shared" si="3"/>
        <v>201019.99154256727</v>
      </c>
      <c r="G32" s="17">
        <f t="shared" si="3"/>
        <v>198038.20126270046</v>
      </c>
      <c r="H32" s="17">
        <f t="shared" si="3"/>
        <v>198394.17870335132</v>
      </c>
      <c r="I32" s="17">
        <f t="shared" si="3"/>
        <v>203999.80636877922</v>
      </c>
      <c r="J32" s="17">
        <f t="shared" si="3"/>
        <v>206076.38855999999</v>
      </c>
      <c r="K32" s="17">
        <f>SUM(K16:K19)</f>
        <v>191292.31672</v>
      </c>
      <c r="O32" s="1"/>
    </row>
    <row r="33" spans="2:71">
      <c r="B33" s="15"/>
      <c r="C33" s="16" t="s">
        <v>38</v>
      </c>
      <c r="D33" s="16" t="s">
        <v>3</v>
      </c>
      <c r="E33" s="17"/>
      <c r="F33" s="17"/>
      <c r="G33" s="17"/>
      <c r="H33" s="17">
        <v>-19308</v>
      </c>
      <c r="I33" s="17">
        <f>-30095-2945</f>
        <v>-33040</v>
      </c>
      <c r="J33" s="17">
        <f>-29606*1.09785</f>
        <v>-32502.947100000001</v>
      </c>
      <c r="K33" s="17">
        <f>-26075*(1.09785)</f>
        <v>-28626.438750000001</v>
      </c>
      <c r="O33" s="1"/>
    </row>
    <row r="34" spans="2:71">
      <c r="B34" s="15"/>
      <c r="C34" s="38" t="s">
        <v>37</v>
      </c>
      <c r="D34" s="38" t="s">
        <v>3</v>
      </c>
      <c r="E34" s="39"/>
      <c r="F34" s="39"/>
      <c r="G34" s="39"/>
      <c r="H34" s="39">
        <f>SUM(H32:H33)</f>
        <v>179086.17870335132</v>
      </c>
      <c r="I34" s="39">
        <f>SUM(I32:I33)</f>
        <v>170959.80636877922</v>
      </c>
      <c r="J34" s="39">
        <f>SUM(J32:J33)</f>
        <v>173573.44146</v>
      </c>
      <c r="K34" s="39">
        <f>SUM(K32:K33)</f>
        <v>162665.87797</v>
      </c>
      <c r="O34" s="1"/>
      <c r="R34" s="1" t="s">
        <v>54</v>
      </c>
    </row>
    <row r="35" spans="2:71" s="2" customFormat="1" ht="21">
      <c r="B35" s="3" t="s">
        <v>24</v>
      </c>
      <c r="K35" s="44"/>
      <c r="L35"/>
      <c r="M35"/>
      <c r="N35"/>
      <c r="O35" s="1" t="s">
        <v>46</v>
      </c>
      <c r="P35" s="1"/>
      <c r="Q35" s="1"/>
      <c r="R35" s="56">
        <v>2018</v>
      </c>
      <c r="S35" s="57">
        <v>658</v>
      </c>
      <c r="T35" s="56" t="s">
        <v>50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2:71" s="2" customFormat="1">
      <c r="B36" s="5"/>
      <c r="C36" s="6" t="s">
        <v>12</v>
      </c>
      <c r="D36" s="6" t="s">
        <v>2</v>
      </c>
      <c r="E36" s="6">
        <v>2014</v>
      </c>
      <c r="F36" s="6">
        <v>2015</v>
      </c>
      <c r="G36" s="18">
        <v>2016</v>
      </c>
      <c r="H36" s="18">
        <v>2017</v>
      </c>
      <c r="I36" s="18">
        <v>2018</v>
      </c>
      <c r="J36" s="18">
        <v>2019</v>
      </c>
      <c r="K36" s="18">
        <v>2020</v>
      </c>
      <c r="L36"/>
      <c r="M36"/>
      <c r="N36"/>
      <c r="O36" s="1" t="s">
        <v>46</v>
      </c>
      <c r="P36" s="1"/>
      <c r="Q36" s="1"/>
      <c r="R36" s="56">
        <v>2018</v>
      </c>
      <c r="S36" s="56">
        <f>S35/2000</f>
        <v>0.32900000000000001</v>
      </c>
      <c r="T36" s="56" t="s">
        <v>51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2:71" s="2" customFormat="1">
      <c r="B37" s="59" t="s">
        <v>27</v>
      </c>
      <c r="C37" s="7" t="s">
        <v>22</v>
      </c>
      <c r="D37" s="30" t="s">
        <v>25</v>
      </c>
      <c r="E37" s="8">
        <v>12149907</v>
      </c>
      <c r="F37" s="9">
        <v>12093381</v>
      </c>
      <c r="G37" s="9">
        <f>F37+106289.5</f>
        <v>12199670.5</v>
      </c>
      <c r="H37" s="9">
        <v>12394103</v>
      </c>
      <c r="I37" s="9">
        <f>H37+2045</f>
        <v>12396148</v>
      </c>
      <c r="J37" s="9">
        <v>12609897</v>
      </c>
      <c r="K37" s="9">
        <v>12609897</v>
      </c>
      <c r="L37"/>
      <c r="M37"/>
      <c r="N37"/>
      <c r="O37" s="1" t="s">
        <v>47</v>
      </c>
      <c r="P37" s="1"/>
      <c r="Q37" s="1"/>
      <c r="R37" s="56">
        <v>2018</v>
      </c>
      <c r="S37" s="56">
        <f>S35/2204.62</f>
        <v>0.29846413440865094</v>
      </c>
      <c r="T37" s="56" t="s">
        <v>52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2:71" s="2" customFormat="1">
      <c r="B38" s="59"/>
      <c r="C38" s="7" t="s">
        <v>26</v>
      </c>
      <c r="D38" s="30" t="s">
        <v>25</v>
      </c>
      <c r="E38" s="10">
        <v>451064</v>
      </c>
      <c r="F38" s="10">
        <v>451064</v>
      </c>
      <c r="G38" s="9">
        <v>515732.34000000008</v>
      </c>
      <c r="H38" s="9">
        <v>515856.43000000011</v>
      </c>
      <c r="I38" s="9">
        <v>470464</v>
      </c>
      <c r="J38" s="9">
        <v>453820.73</v>
      </c>
      <c r="K38" s="9">
        <v>452572</v>
      </c>
      <c r="L38"/>
      <c r="M38"/>
      <c r="N38"/>
      <c r="O38" s="1" t="s">
        <v>48</v>
      </c>
      <c r="P38" s="1"/>
      <c r="Q38" s="1"/>
      <c r="R38" s="56">
        <v>2018</v>
      </c>
      <c r="S38" s="56">
        <f>S37/1000</f>
        <v>2.9846413440865095E-4</v>
      </c>
      <c r="T38" s="56" t="s">
        <v>53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2:71" s="2" customFormat="1">
      <c r="B39" s="43"/>
      <c r="C39" s="7"/>
      <c r="D39" s="30"/>
      <c r="E39" s="10"/>
      <c r="F39" s="10"/>
      <c r="G39" s="9"/>
      <c r="H39" s="9"/>
      <c r="I39" s="9"/>
      <c r="J39" s="9"/>
      <c r="K39" s="9"/>
      <c r="L39"/>
      <c r="M39"/>
      <c r="N39"/>
      <c r="O39" s="1" t="s">
        <v>49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2:71" s="2" customFormat="1">
      <c r="B40" s="43"/>
      <c r="C40" s="7"/>
      <c r="D40" s="45" t="s">
        <v>41</v>
      </c>
      <c r="E40" s="46">
        <f>E32/E37</f>
        <v>1.7566223640655368E-2</v>
      </c>
      <c r="F40" s="46">
        <f>F32/F37</f>
        <v>1.662231526010528E-2</v>
      </c>
      <c r="G40" s="46">
        <f t="shared" ref="G40:H40" si="4">G32/G37</f>
        <v>1.6233077873922943E-2</v>
      </c>
      <c r="H40" s="46">
        <f t="shared" si="4"/>
        <v>1.6007142969793886E-2</v>
      </c>
      <c r="I40" s="46">
        <f>I32/I37</f>
        <v>1.6456709484977045E-2</v>
      </c>
      <c r="J40" s="46">
        <f>J32/J37</f>
        <v>1.6342432341834353E-2</v>
      </c>
      <c r="K40" s="46">
        <f>K32/K37</f>
        <v>1.5170014213438858E-2</v>
      </c>
      <c r="L40" s="62"/>
      <c r="M40"/>
      <c r="N40"/>
      <c r="O40" s="51" t="s">
        <v>47</v>
      </c>
      <c r="P40" s="1" t="s">
        <v>45</v>
      </c>
      <c r="Q40" s="1" t="s">
        <v>44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2:71" s="2" customFormat="1">
      <c r="B41" s="43"/>
      <c r="C41" s="7"/>
      <c r="D41" s="30"/>
      <c r="E41" s="10"/>
      <c r="F41" s="10"/>
      <c r="G41" s="9"/>
      <c r="H41" s="9"/>
      <c r="I41" s="9"/>
      <c r="J41" s="9"/>
      <c r="K41" s="9"/>
      <c r="L41"/>
      <c r="M41"/>
      <c r="N41"/>
      <c r="O41" s="5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2:71" s="2" customFormat="1">
      <c r="L42"/>
      <c r="M42"/>
      <c r="N4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2:71" s="2" customFormat="1" ht="13" customHeight="1">
      <c r="B43" s="20" t="s">
        <v>23</v>
      </c>
      <c r="C43" s="15"/>
      <c r="D43" s="15"/>
      <c r="E43" s="15"/>
      <c r="F43" s="15"/>
      <c r="G43" s="15"/>
      <c r="H43" s="15"/>
      <c r="I43" s="15"/>
      <c r="L43"/>
      <c r="M43"/>
      <c r="N4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2:71" s="33" customFormat="1" ht="24" customHeight="1">
      <c r="B44" s="58" t="s">
        <v>39</v>
      </c>
      <c r="C44" s="58"/>
      <c r="D44" s="32"/>
      <c r="E44" s="32"/>
      <c r="F44" s="32"/>
      <c r="G44" s="32"/>
      <c r="H44" s="32"/>
      <c r="I44" s="32"/>
      <c r="L44"/>
      <c r="M44"/>
      <c r="N4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2:71" s="2" customFormat="1">
      <c r="B45" s="19" t="s">
        <v>32</v>
      </c>
      <c r="C45" s="15"/>
      <c r="D45" s="15"/>
      <c r="E45" s="15"/>
      <c r="F45" s="15"/>
      <c r="G45" s="15"/>
      <c r="H45" s="15"/>
      <c r="I45" s="15"/>
      <c r="L45"/>
      <c r="M45"/>
      <c r="N4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2:71" s="2" customFormat="1" ht="13" customHeight="1">
      <c r="B46" s="21" t="s">
        <v>42</v>
      </c>
      <c r="E46" s="42"/>
      <c r="I46" s="40" t="s">
        <v>35</v>
      </c>
      <c r="L46"/>
      <c r="M46"/>
      <c r="N4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2:71" s="2" customFormat="1">
      <c r="L47"/>
      <c r="M47"/>
      <c r="N4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2:71" s="2" customFormat="1">
      <c r="L48"/>
      <c r="M48"/>
      <c r="N48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2:73" s="2" customFormat="1">
      <c r="B49" s="1"/>
      <c r="C49" s="1"/>
      <c r="D49" s="1"/>
      <c r="E49" s="1"/>
      <c r="F49" s="1"/>
      <c r="G49" s="1"/>
      <c r="H49" s="1"/>
      <c r="I49" s="1"/>
      <c r="J49" s="1"/>
      <c r="K49" s="1"/>
      <c r="L49"/>
      <c r="M49"/>
      <c r="N49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2:73" s="2" customFormat="1">
      <c r="B50" s="1"/>
      <c r="C50" s="1"/>
      <c r="D50" s="1"/>
      <c r="E50" s="1"/>
      <c r="F50" s="1"/>
      <c r="G50" s="1"/>
      <c r="H50" s="1"/>
      <c r="I50" s="1"/>
      <c r="J50" s="1"/>
      <c r="K50" s="1"/>
      <c r="L50"/>
      <c r="M50"/>
      <c r="N5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2:73" s="2" customFormat="1">
      <c r="B51" s="1"/>
      <c r="C51" s="1"/>
      <c r="D51" s="1"/>
      <c r="E51" s="1"/>
      <c r="F51" s="1"/>
      <c r="G51" s="1"/>
      <c r="H51" s="1"/>
      <c r="I51" s="1"/>
      <c r="J51" s="1"/>
      <c r="K51" s="1"/>
      <c r="L51"/>
      <c r="M51"/>
      <c r="N5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2:73">
      <c r="J52" s="1"/>
      <c r="K52" s="1"/>
      <c r="O52" s="1"/>
    </row>
    <row r="53" spans="2:73">
      <c r="J53" s="1"/>
      <c r="K53" s="1"/>
      <c r="O53" s="1"/>
    </row>
    <row r="54" spans="2:73">
      <c r="J54" s="1"/>
      <c r="K54" s="1"/>
      <c r="O54" s="1"/>
    </row>
    <row r="55" spans="2:73">
      <c r="J55" s="1"/>
      <c r="K55" s="1"/>
      <c r="O55" s="1"/>
    </row>
    <row r="56" spans="2:73">
      <c r="J56" s="1"/>
      <c r="K56" s="1"/>
      <c r="O56" s="1"/>
    </row>
    <row r="57" spans="2:73">
      <c r="J57" s="1"/>
      <c r="K57" s="1"/>
      <c r="O57" s="1"/>
    </row>
    <row r="58" spans="2:73">
      <c r="J58" s="1"/>
      <c r="K58" s="1"/>
      <c r="O58" s="1"/>
    </row>
    <row r="59" spans="2:73">
      <c r="J59" s="1"/>
      <c r="K59" s="1"/>
      <c r="O59" s="1"/>
    </row>
    <row r="60" spans="2:73">
      <c r="J60" s="1"/>
      <c r="K60" s="1"/>
      <c r="O60" s="1"/>
    </row>
    <row r="61" spans="2:73">
      <c r="J61" s="1"/>
      <c r="K61" s="1"/>
      <c r="O61" s="1"/>
    </row>
    <row r="62" spans="2:73">
      <c r="J62" s="1"/>
      <c r="K62" s="1"/>
      <c r="O62" s="1"/>
    </row>
    <row r="63" spans="2:73">
      <c r="J63" s="1"/>
      <c r="K63" s="1"/>
      <c r="O63" s="1"/>
    </row>
    <row r="64" spans="2:73">
      <c r="J64" s="1"/>
      <c r="K64" s="1"/>
      <c r="O64" s="1"/>
    </row>
    <row r="65" spans="10:15">
      <c r="J65" s="1"/>
      <c r="K65" s="1"/>
      <c r="O65" s="1"/>
    </row>
    <row r="66" spans="10:15">
      <c r="J66" s="1"/>
      <c r="K66" s="1"/>
      <c r="O66" s="1"/>
    </row>
    <row r="67" spans="10:15">
      <c r="J67" s="1"/>
      <c r="K67" s="1"/>
      <c r="O67" s="1"/>
    </row>
    <row r="68" spans="10:15">
      <c r="J68" s="1"/>
      <c r="K68" s="1"/>
      <c r="O68" s="1"/>
    </row>
    <row r="69" spans="10:15">
      <c r="J69" s="1"/>
      <c r="K69" s="1"/>
      <c r="O69" s="1"/>
    </row>
    <row r="70" spans="10:15">
      <c r="J70" s="1"/>
      <c r="K70" s="1"/>
      <c r="O70" s="1"/>
    </row>
    <row r="71" spans="10:15">
      <c r="J71" s="1"/>
      <c r="K71" s="1"/>
      <c r="O71" s="1"/>
    </row>
  </sheetData>
  <mergeCells count="7">
    <mergeCell ref="B44:C44"/>
    <mergeCell ref="B37:B38"/>
    <mergeCell ref="B5:B8"/>
    <mergeCell ref="B9:B11"/>
    <mergeCell ref="B19:B22"/>
    <mergeCell ref="B23:B26"/>
    <mergeCell ref="B16:B18"/>
  </mergeCells>
  <phoneticPr fontId="6" type="noConversion"/>
  <hyperlinks>
    <hyperlink ref="I46" r:id="rId1" xr:uid="{00000000-0004-0000-0000-000000000000}"/>
  </hyperlinks>
  <printOptions horizontalCentered="1" verticalCentered="1"/>
  <pageMargins left="0.3" right="0.3" top="0.5" bottom="0.5" header="0" footer="0"/>
  <pageSetup scale="86" orientation="landscape" horizontalDpi="4294967292" verticalDpi="4294967292"/>
  <ignoredErrors>
    <ignoredError sqref="E28:F28 E30 E32 J28 G28:I33" formulaRange="1"/>
  </ignoredErrors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Energy Use &amp; GHG Data 2014-2020</vt:lpstr>
      <vt:lpstr>'Energy Use &amp; GHG Data 2014-2020'!Print_Area</vt:lpstr>
    </vt:vector>
  </TitlesOfParts>
  <Company>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Lanou</dc:creator>
  <cp:lastModifiedBy>Steve Lanou</cp:lastModifiedBy>
  <cp:lastPrinted>2018-11-15T19:00:33Z</cp:lastPrinted>
  <dcterms:created xsi:type="dcterms:W3CDTF">2015-12-11T20:32:47Z</dcterms:created>
  <dcterms:modified xsi:type="dcterms:W3CDTF">2020-12-23T06:29:52Z</dcterms:modified>
</cp:coreProperties>
</file>